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tables/table5.xml" ContentType="application/vnd.openxmlformats-officedocument.spreadsheetml.table+xml"/>
  <Override PartName="/xl/tables/table4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3360" activeTab="2"/>
  </bookViews>
  <sheets>
    <sheet name="Orders" sheetId="1" r:id="rId1"/>
    <sheet name="Lookup Tables" sheetId="2" r:id="rId2"/>
    <sheet name="EastWest" sheetId="3" r:id="rId3"/>
    <sheet name="Orders Table" sheetId="4" r:id="rId4"/>
  </sheets>
  <definedNames>
    <definedName name="Companies">CustomerScale[Company]</definedName>
    <definedName name="Parts">Prices[Part]</definedName>
  </definedNames>
  <calcPr calcId="124519"/>
</workbook>
</file>

<file path=xl/calcChain.xml><?xml version="1.0" encoding="utf-8"?>
<calcChain xmlns="http://schemas.openxmlformats.org/spreadsheetml/2006/main">
  <c r="D19" i="3"/>
  <c r="C6" i="1"/>
  <c r="C7"/>
  <c r="E7" s="1"/>
  <c r="C8"/>
  <c r="C9"/>
  <c r="C10"/>
  <c r="C11"/>
  <c r="C12"/>
  <c r="C13"/>
  <c r="C5"/>
  <c r="D9" i="3"/>
  <c r="A5" i="4" l="1"/>
  <c r="A6"/>
  <c r="A7"/>
  <c r="A8"/>
  <c r="A9"/>
  <c r="A10"/>
  <c r="A11"/>
  <c r="A12"/>
  <c r="A13"/>
  <c r="B14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C18" i="3"/>
  <c r="C17"/>
  <c r="C16"/>
  <c r="C15"/>
  <c r="C14"/>
  <c r="C6"/>
  <c r="C7"/>
  <c r="C8"/>
  <c r="C5"/>
  <c r="F14" i="4" l="1"/>
  <c r="H13"/>
  <c r="G13"/>
  <c r="H11"/>
  <c r="G11"/>
  <c r="H9"/>
  <c r="G9"/>
  <c r="H7"/>
  <c r="G7"/>
  <c r="H5"/>
  <c r="G5"/>
  <c r="H12"/>
  <c r="H10"/>
  <c r="H8"/>
  <c r="H6"/>
  <c r="G12"/>
  <c r="I12" s="1"/>
  <c r="G10"/>
  <c r="I10" s="1"/>
  <c r="G8"/>
  <c r="G6"/>
  <c r="I6" s="1"/>
  <c r="E6" i="1"/>
  <c r="E9"/>
  <c r="E10"/>
  <c r="E11"/>
  <c r="F11" s="1"/>
  <c r="E13"/>
  <c r="E5"/>
  <c r="E18" i="3"/>
  <c r="E17"/>
  <c r="E16"/>
  <c r="E15"/>
  <c r="E14"/>
  <c r="E6"/>
  <c r="E7"/>
  <c r="E8"/>
  <c r="E5"/>
  <c r="E8" i="1"/>
  <c r="E12"/>
  <c r="E9" i="3" l="1"/>
  <c r="E19"/>
  <c r="G8" i="1"/>
  <c r="F8"/>
  <c r="F5"/>
  <c r="G5"/>
  <c r="G9"/>
  <c r="F9"/>
  <c r="H9" s="1"/>
  <c r="F12"/>
  <c r="G12"/>
  <c r="H12" s="1"/>
  <c r="G13"/>
  <c r="F13"/>
  <c r="H13" s="1"/>
  <c r="G10"/>
  <c r="F10"/>
  <c r="G7"/>
  <c r="F7"/>
  <c r="G11"/>
  <c r="G6"/>
  <c r="F6"/>
  <c r="I8" i="4"/>
  <c r="I5"/>
  <c r="I7"/>
  <c r="I9"/>
  <c r="I13"/>
  <c r="G14"/>
  <c r="H14"/>
  <c r="I11"/>
  <c r="F15" i="3"/>
  <c r="G15"/>
  <c r="F17"/>
  <c r="G17"/>
  <c r="F14"/>
  <c r="G14"/>
  <c r="F16"/>
  <c r="G16"/>
  <c r="F18"/>
  <c r="G18"/>
  <c r="F8"/>
  <c r="G8"/>
  <c r="F5"/>
  <c r="G5"/>
  <c r="F7"/>
  <c r="H7" s="1"/>
  <c r="G7"/>
  <c r="F6"/>
  <c r="G6"/>
  <c r="H5" i="1"/>
  <c r="H8"/>
  <c r="H11"/>
  <c r="H7"/>
  <c r="E14"/>
  <c r="G9" i="3" l="1"/>
  <c r="F9"/>
  <c r="G19"/>
  <c r="H6"/>
  <c r="H5"/>
  <c r="H8"/>
  <c r="H18"/>
  <c r="H16"/>
  <c r="H14"/>
  <c r="H17"/>
  <c r="H15"/>
  <c r="F19"/>
  <c r="I14" i="4"/>
  <c r="J13" s="1"/>
  <c r="H6" i="1"/>
  <c r="H10"/>
  <c r="F14"/>
  <c r="H9" i="3" l="1"/>
  <c r="I7" s="1"/>
  <c r="H19"/>
  <c r="I14" s="1"/>
  <c r="J6" i="4"/>
  <c r="J9"/>
  <c r="J12"/>
  <c r="J7"/>
  <c r="J5"/>
  <c r="J11"/>
  <c r="J10"/>
  <c r="J8"/>
  <c r="H14" i="1"/>
  <c r="I16" i="3" l="1"/>
  <c r="I18"/>
  <c r="I15"/>
  <c r="I17"/>
  <c r="I8"/>
  <c r="I5"/>
  <c r="I6"/>
</calcChain>
</file>

<file path=xl/sharedStrings.xml><?xml version="1.0" encoding="utf-8"?>
<sst xmlns="http://schemas.openxmlformats.org/spreadsheetml/2006/main" count="146" uniqueCount="49">
  <si>
    <t>Worldwide Sporting Goods</t>
  </si>
  <si>
    <t>Order Record</t>
  </si>
  <si>
    <t>Company</t>
  </si>
  <si>
    <t>Part</t>
  </si>
  <si>
    <t>Price</t>
  </si>
  <si>
    <t>Qty</t>
  </si>
  <si>
    <t>Shipping</t>
  </si>
  <si>
    <t>Total Cost</t>
  </si>
  <si>
    <t>World of Sports</t>
  </si>
  <si>
    <t>ST-2472</t>
  </si>
  <si>
    <t>SportsCity</t>
  </si>
  <si>
    <t>TY-9868</t>
  </si>
  <si>
    <t>Athlete's Dream</t>
  </si>
  <si>
    <t>BB-7865</t>
  </si>
  <si>
    <t>Sports Emporium</t>
  </si>
  <si>
    <t>GR-0876</t>
  </si>
  <si>
    <t>SportsWorld</t>
  </si>
  <si>
    <t>WE-5493</t>
  </si>
  <si>
    <t>Tennis Joint</t>
  </si>
  <si>
    <t>Athlete's World</t>
  </si>
  <si>
    <t>EM-3741</t>
  </si>
  <si>
    <t>Sportsman's Den</t>
  </si>
  <si>
    <t>JH-0678</t>
  </si>
  <si>
    <t>Specialty Sports</t>
  </si>
  <si>
    <t>WH-0677</t>
  </si>
  <si>
    <t>Shipping Cost</t>
  </si>
  <si>
    <t>Order Value</t>
  </si>
  <si>
    <t>Prices</t>
  </si>
  <si>
    <t>Price Each</t>
  </si>
  <si>
    <t>Cost of Parts</t>
  </si>
  <si>
    <t>Totals</t>
  </si>
  <si>
    <t>Report No.</t>
  </si>
  <si>
    <t>Eastern Region</t>
  </si>
  <si>
    <t>Western Region</t>
  </si>
  <si>
    <t>Date</t>
  </si>
  <si>
    <t>% of Total</t>
  </si>
  <si>
    <t>Discount</t>
  </si>
  <si>
    <t>Scale 1</t>
  </si>
  <si>
    <t>Scale 2</t>
  </si>
  <si>
    <t>Scale 3</t>
  </si>
  <si>
    <t>Discount Scale</t>
  </si>
  <si>
    <t>Customer Scale</t>
  </si>
  <si>
    <t>Discount Percent</t>
  </si>
  <si>
    <t>Region</t>
  </si>
  <si>
    <t>Eastern</t>
  </si>
  <si>
    <t>Western</t>
  </si>
  <si>
    <t>Order Record Table</t>
  </si>
  <si>
    <t>Total</t>
  </si>
  <si>
    <t>5/31/2007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</si>
</sst>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3" applyNumberFormat="0" applyAlignment="0" applyProtection="0"/>
    <xf numFmtId="0" fontId="5" fillId="3" borderId="3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4" fillId="2" borderId="3" xfId="4"/>
    <xf numFmtId="0" fontId="3" fillId="0" borderId="1" xfId="3"/>
    <xf numFmtId="0" fontId="1" fillId="4" borderId="0" xfId="6"/>
    <xf numFmtId="0" fontId="5" fillId="3" borderId="3" xfId="5"/>
    <xf numFmtId="44" fontId="5" fillId="3" borderId="3" xfId="5" applyNumberFormat="1"/>
    <xf numFmtId="44" fontId="0" fillId="0" borderId="0" xfId="0" applyNumberFormat="1"/>
    <xf numFmtId="0" fontId="2" fillId="0" borderId="0" xfId="2"/>
    <xf numFmtId="0" fontId="1" fillId="5" borderId="2" xfId="7" applyBorder="1"/>
    <xf numFmtId="0" fontId="1" fillId="5" borderId="2" xfId="7" applyBorder="1" applyAlignment="1">
      <alignment horizontal="center"/>
    </xf>
    <xf numFmtId="0" fontId="0" fillId="0" borderId="0" xfId="0" quotePrefix="1"/>
    <xf numFmtId="164" fontId="0" fillId="0" borderId="0" xfId="1" applyNumberFormat="1" applyFont="1"/>
    <xf numFmtId="9" fontId="0" fillId="0" borderId="0" xfId="0" applyNumberFormat="1"/>
    <xf numFmtId="0" fontId="0" fillId="5" borderId="2" xfId="7" applyFont="1" applyBorder="1" applyAlignment="1">
      <alignment horizontal="center"/>
    </xf>
    <xf numFmtId="0" fontId="3" fillId="0" borderId="0" xfId="3" applyBorder="1"/>
    <xf numFmtId="0" fontId="0" fillId="0" borderId="0" xfId="0" applyAlignment="1">
      <alignment vertical="top" wrapText="1"/>
    </xf>
    <xf numFmtId="9" fontId="0" fillId="0" borderId="0" xfId="1" applyNumberFormat="1" applyFont="1"/>
    <xf numFmtId="0" fontId="6" fillId="0" borderId="0" xfId="9"/>
    <xf numFmtId="164" fontId="5" fillId="3" borderId="3" xfId="5" applyNumberFormat="1"/>
    <xf numFmtId="0" fontId="0" fillId="0" borderId="0" xfId="0" applyNumberFormat="1"/>
    <xf numFmtId="44" fontId="0" fillId="0" borderId="0" xfId="8" applyFont="1"/>
    <xf numFmtId="44" fontId="5" fillId="3" borderId="3" xfId="5" applyNumberFormat="1" applyProtection="1"/>
  </cellXfs>
  <cellStyles count="10">
    <cellStyle name="20% - Accent6" xfId="6" builtinId="50"/>
    <cellStyle name="40% - Accent6" xfId="7" builtinId="51"/>
    <cellStyle name="Calculation" xfId="5" builtinId="22"/>
    <cellStyle name="Currency" xfId="8" builtinId="4"/>
    <cellStyle name="Heading 1" xfId="3" builtinId="16"/>
    <cellStyle name="Heading 4" xfId="9" builtinId="19"/>
    <cellStyle name="Input" xfId="4" builtinId="20"/>
    <cellStyle name="Normal" xfId="0" builtinId="0"/>
    <cellStyle name="Percent" xfId="1" builtinId="5"/>
    <cellStyle name="Title" xfId="2" builtinId="15"/>
  </cellStyles>
  <dxfs count="15">
    <dxf>
      <numFmt numFmtId="164" formatCode="0.0%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0" formatCode="General"/>
    </dxf>
    <dxf>
      <numFmt numFmtId="0" formatCode="General"/>
    </dxf>
    <dxf>
      <numFmt numFmtId="13" formatCode="0%"/>
    </dxf>
    <dxf>
      <numFmt numFmtId="13" formatCode="0%"/>
    </dxf>
    <dxf>
      <numFmt numFmtId="13" formatCode="0%"/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alignment horizontal="general" vertical="top" textRotation="0" wrapText="1" indent="0" relativeIndent="255" justifyLastLine="0" shrinkToFit="0" mergeCell="0" readingOrder="0"/>
    </dxf>
    <dxf>
      <border outline="0">
        <top style="thick">
          <color theme="4"/>
        </top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Prices" displayName="Prices" ref="A2:B10" totalsRowShown="0" tableBorderDxfId="14">
  <autoFilter ref="A2:B10"/>
  <tableColumns count="2">
    <tableColumn id="1" name="Part"/>
    <tableColumn id="2" name="Pric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CustomerScale" displayName="CustomerScale" ref="D2:F11" totalsRowShown="0" headerRowDxfId="13" tableBorderDxfId="12">
  <autoFilter ref="D2:F11">
    <filterColumn colId="2"/>
  </autoFilter>
  <tableColumns count="3">
    <tableColumn id="1" name="Company"/>
    <tableColumn id="2" name="Discount Scale"/>
    <tableColumn id="3" name="Region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Shipping" displayName="Shipping" ref="A13:B23" totalsRowShown="0" tableBorderDxfId="11">
  <autoFilter ref="A13:B23"/>
  <tableColumns count="2">
    <tableColumn id="1" name="Order Value"/>
    <tableColumn id="2" name="Shipping Cost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DiscountPercent" displayName="DiscountPercent" ref="H2:K6" totalsRowShown="0" tableBorderDxfId="10">
  <autoFilter ref="H2:K6"/>
  <tableColumns count="4">
    <tableColumn id="1" name="Order Value"/>
    <tableColumn id="2" name="Scale 1" dataDxfId="9" dataCellStyle="Percent"/>
    <tableColumn id="3" name="Scale 2" dataDxfId="8" dataCellStyle="Percent"/>
    <tableColumn id="4" name="Scale 3" dataDxfId="7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Orders" displayName="Orders" ref="A4:J14" totalsRowCount="1">
  <autoFilter ref="A4:J13">
    <filterColumn colId="9"/>
  </autoFilter>
  <tableColumns count="10">
    <tableColumn id="1" name="Region" totalsRowLabel="Total" dataDxfId="6" dataCellStyle="Normal">
      <calculatedColumnFormula>VLOOKUP([Company],CustomerScale[],3)</calculatedColumnFormula>
    </tableColumn>
    <tableColumn id="2" name="Company" totalsRowFunction="count" dataCellStyle="Input"/>
    <tableColumn id="3" name="Part" dataCellStyle="Input"/>
    <tableColumn id="4" name="Price Each" totalsRowDxfId="5" dataCellStyle="Currency">
      <calculatedColumnFormula>VLOOKUP([Part],Prices[],2)</calculatedColumnFormula>
    </tableColumn>
    <tableColumn id="5" name="Qty" dataCellStyle="Input"/>
    <tableColumn id="6" name="Cost of Parts" totalsRowFunction="sum" totalsRowDxfId="4" dataCellStyle="Currency">
      <calculatedColumnFormula>[Price Each]*[Qty]</calculatedColumnFormula>
    </tableColumn>
    <tableColumn id="7" name="Shipping" totalsRowFunction="sum" totalsRowDxfId="3" dataCellStyle="Currency">
      <calculatedColumnFormula>VLOOKUP([Cost of Parts],Shipping[],2)</calculatedColumnFormula>
    </tableColumn>
    <tableColumn id="8" name="Discount" totalsRowFunction="sum" totalsRowDxfId="2" dataCellStyle="Currency">
      <calculatedColumnFormula>[Cost of Parts]*VLOOKUP([Cost of Parts],DiscountPercent[],VLOOKUP([Company],CustomerScale[],2)+1)</calculatedColumnFormula>
    </tableColumn>
    <tableColumn id="9" name="Total Cost" totalsRowFunction="sum" totalsRowDxfId="1" dataCellStyle="Currency">
      <calculatedColumnFormula>[Cost of Parts]+[Shipping]-[Discount]</calculatedColumnFormula>
    </tableColumn>
    <tableColumn id="10" name="% of Total" dataDxfId="0" dataCellStyle="Percent">
      <calculatedColumnFormula>Orders[[#This Row],[Total Cost]]/Orders[[#Totals],[Total Cost]]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E5" sqref="E5"/>
    </sheetView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6" width="12.140625" customWidth="1"/>
    <col min="7" max="7" width="12.5703125" bestFit="1" customWidth="1"/>
    <col min="8" max="8" width="12.140625" customWidth="1"/>
  </cols>
  <sheetData>
    <row r="1" spans="1:8" ht="22.5">
      <c r="A1" s="7" t="s">
        <v>0</v>
      </c>
    </row>
    <row r="2" spans="1:8" ht="20.25" thickBot="1">
      <c r="A2" s="2" t="s">
        <v>1</v>
      </c>
    </row>
    <row r="3" spans="1:8" ht="15.75" thickTop="1"/>
    <row r="4" spans="1:8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36</v>
      </c>
      <c r="H4" s="9" t="s">
        <v>7</v>
      </c>
    </row>
    <row r="5" spans="1:8">
      <c r="A5" s="3" t="s">
        <v>8</v>
      </c>
      <c r="B5" s="1" t="s">
        <v>9</v>
      </c>
      <c r="C5" s="5">
        <f>VLOOKUP(B5,'Lookup Tables'!$A$3:$B$10,2)</f>
        <v>63.99</v>
      </c>
      <c r="D5" s="1">
        <v>10</v>
      </c>
      <c r="E5" s="5">
        <f>C5*D5</f>
        <v>639.9</v>
      </c>
      <c r="F5" s="5">
        <f>VLOOKUP(E5,'Lookup Tables'!$A$14:$B$23,2)</f>
        <v>50</v>
      </c>
      <c r="G5" s="5">
        <f>E5*VLOOKUP(E5,'Lookup Tables'!$H$3:$K$6,VLOOKUP(A5,'Lookup Tables'!$D$3:$F$11,2)+1)</f>
        <v>31.995000000000001</v>
      </c>
      <c r="H5" s="5">
        <f>E5+F5-G5</f>
        <v>657.90499999999997</v>
      </c>
    </row>
    <row r="6" spans="1:8">
      <c r="A6" s="3" t="s">
        <v>10</v>
      </c>
      <c r="B6" s="1" t="s">
        <v>11</v>
      </c>
      <c r="C6" s="5">
        <f>VLOOKUP(B6,'Lookup Tables'!$A$3:$B$10,2)</f>
        <v>169.99</v>
      </c>
      <c r="D6" s="1">
        <v>75</v>
      </c>
      <c r="E6" s="5">
        <f t="shared" ref="E6:E13" si="0">C6*D6</f>
        <v>12749.25</v>
      </c>
      <c r="F6" s="5">
        <f>VLOOKUP(E6,'Lookup Tables'!$A$14:$B$23,2)</f>
        <v>300</v>
      </c>
      <c r="G6" s="5">
        <f>E6*VLOOKUP(E6,'Lookup Tables'!$H$3:$K$6,VLOOKUP(A6,'Lookup Tables'!$D$3:$F$11,2)+1)</f>
        <v>1529.9099999999999</v>
      </c>
      <c r="H6" s="5">
        <f t="shared" ref="H6:H13" si="1">E6+F6-G6</f>
        <v>11519.34</v>
      </c>
    </row>
    <row r="7" spans="1:8">
      <c r="A7" s="3" t="s">
        <v>12</v>
      </c>
      <c r="B7" s="1" t="s">
        <v>13</v>
      </c>
      <c r="C7" s="5">
        <f>VLOOKUP(B7,'Lookup Tables'!$A$3:$B$10,2)</f>
        <v>54.99</v>
      </c>
      <c r="D7" s="1">
        <v>100</v>
      </c>
      <c r="E7" s="5">
        <f t="shared" si="0"/>
        <v>5499</v>
      </c>
      <c r="F7" s="5">
        <f>VLOOKUP(E7,'Lookup Tables'!$A$14:$B$23,2)</f>
        <v>100</v>
      </c>
      <c r="G7" s="5">
        <f>E7*VLOOKUP(E7,'Lookup Tables'!$H$3:$K$6,VLOOKUP(A7,'Lookup Tables'!$D$3:$F$11,2)+1)</f>
        <v>549.9</v>
      </c>
      <c r="H7" s="5">
        <f t="shared" si="1"/>
        <v>5049.1000000000004</v>
      </c>
    </row>
    <row r="8" spans="1:8">
      <c r="A8" s="3" t="s">
        <v>14</v>
      </c>
      <c r="B8" s="1" t="s">
        <v>15</v>
      </c>
      <c r="C8" s="5">
        <f>VLOOKUP(B8,'Lookup Tables'!$A$3:$B$10,2)</f>
        <v>99.99</v>
      </c>
      <c r="D8" s="1">
        <v>20</v>
      </c>
      <c r="E8" s="5">
        <f t="shared" si="0"/>
        <v>1999.8</v>
      </c>
      <c r="F8" s="5">
        <f>VLOOKUP(E8,'Lookup Tables'!$A$14:$B$23,2)</f>
        <v>80</v>
      </c>
      <c r="G8" s="5">
        <f>E8*VLOOKUP(E8,'Lookup Tables'!$H$3:$K$6,VLOOKUP(A8,'Lookup Tables'!$D$3:$F$11,2)+1)</f>
        <v>99.990000000000009</v>
      </c>
      <c r="H8" s="5">
        <f t="shared" si="1"/>
        <v>1979.8100000000002</v>
      </c>
    </row>
    <row r="9" spans="1:8">
      <c r="A9" s="3" t="s">
        <v>16</v>
      </c>
      <c r="B9" s="1" t="s">
        <v>17</v>
      </c>
      <c r="C9" s="5">
        <f>VLOOKUP(B9,'Lookup Tables'!$A$3:$B$10,2)</f>
        <v>44.99</v>
      </c>
      <c r="D9" s="1">
        <v>200</v>
      </c>
      <c r="E9" s="5">
        <f t="shared" si="0"/>
        <v>8998</v>
      </c>
      <c r="F9" s="5">
        <f>VLOOKUP(E9,'Lookup Tables'!$A$14:$B$23,2)</f>
        <v>200</v>
      </c>
      <c r="G9" s="5">
        <f>E9*VLOOKUP(E9,'Lookup Tables'!$H$3:$K$6,VLOOKUP(A9,'Lookup Tables'!$D$3:$F$11,2)+1)</f>
        <v>539.88</v>
      </c>
      <c r="H9" s="5">
        <f t="shared" si="1"/>
        <v>8658.1200000000008</v>
      </c>
    </row>
    <row r="10" spans="1:8">
      <c r="A10" s="3" t="s">
        <v>18</v>
      </c>
      <c r="B10" s="1" t="s">
        <v>11</v>
      </c>
      <c r="C10" s="5">
        <f>VLOOKUP(B10,'Lookup Tables'!$A$3:$B$10,2)</f>
        <v>169.99</v>
      </c>
      <c r="D10" s="1">
        <v>2</v>
      </c>
      <c r="E10" s="5">
        <f t="shared" si="0"/>
        <v>339.98</v>
      </c>
      <c r="F10" s="5">
        <f>VLOOKUP(E10,'Lookup Tables'!$A$14:$B$23,2)</f>
        <v>0</v>
      </c>
      <c r="G10" s="5">
        <f>E10*VLOOKUP(E10,'Lookup Tables'!$H$3:$K$6,VLOOKUP(A10,'Lookup Tables'!$D$3:$F$11,2)+1)</f>
        <v>0</v>
      </c>
      <c r="H10" s="5">
        <f t="shared" si="1"/>
        <v>339.98</v>
      </c>
    </row>
    <row r="11" spans="1:8">
      <c r="A11" s="3" t="s">
        <v>19</v>
      </c>
      <c r="B11" s="1" t="s">
        <v>20</v>
      </c>
      <c r="C11" s="5">
        <f>VLOOKUP(B11,'Lookup Tables'!$A$3:$B$10,2)</f>
        <v>125.99</v>
      </c>
      <c r="D11" s="1">
        <v>100</v>
      </c>
      <c r="E11" s="5">
        <f t="shared" si="0"/>
        <v>12599</v>
      </c>
      <c r="F11" s="5">
        <f>VLOOKUP(E11,'Lookup Tables'!$A$14:$B$23,2)</f>
        <v>300</v>
      </c>
      <c r="G11" s="5">
        <f>E11*VLOOKUP(E11,'Lookup Tables'!$H$3:$K$6,VLOOKUP(A11,'Lookup Tables'!$D$3:$F$11,2)+1)</f>
        <v>1385.89</v>
      </c>
      <c r="H11" s="5">
        <f t="shared" si="1"/>
        <v>11513.11</v>
      </c>
    </row>
    <row r="12" spans="1:8">
      <c r="A12" s="3" t="s">
        <v>21</v>
      </c>
      <c r="B12" s="1" t="s">
        <v>22</v>
      </c>
      <c r="C12" s="5">
        <f>VLOOKUP(B12,'Lookup Tables'!$A$3:$B$10,2)</f>
        <v>33.979999999999997</v>
      </c>
      <c r="D12" s="1">
        <v>300</v>
      </c>
      <c r="E12" s="5">
        <f t="shared" si="0"/>
        <v>10193.999999999998</v>
      </c>
      <c r="F12" s="5">
        <f>VLOOKUP(E12,'Lookup Tables'!$A$14:$B$23,2)</f>
        <v>200</v>
      </c>
      <c r="G12" s="5">
        <f>E12*VLOOKUP(E12,'Lookup Tables'!$H$3:$K$6,VLOOKUP(A12,'Lookup Tables'!$D$3:$F$11,2)+1)</f>
        <v>917.45999999999981</v>
      </c>
      <c r="H12" s="5">
        <f t="shared" si="1"/>
        <v>9476.5399999999991</v>
      </c>
    </row>
    <row r="13" spans="1:8">
      <c r="A13" s="3" t="s">
        <v>23</v>
      </c>
      <c r="B13" s="1" t="s">
        <v>24</v>
      </c>
      <c r="C13" s="5">
        <f>VLOOKUP(B13,'Lookup Tables'!$A$3:$B$10,2)</f>
        <v>54.75</v>
      </c>
      <c r="D13" s="1">
        <v>1</v>
      </c>
      <c r="E13" s="5">
        <f t="shared" si="0"/>
        <v>54.75</v>
      </c>
      <c r="F13" s="5">
        <f>VLOOKUP(E13,'Lookup Tables'!$A$14:$B$23,2)</f>
        <v>0</v>
      </c>
      <c r="G13" s="5">
        <f>E13*VLOOKUP(E13,'Lookup Tables'!$H$3:$K$6,VLOOKUP(A13,'Lookup Tables'!$D$3:$F$11,2)+1)</f>
        <v>0</v>
      </c>
      <c r="H13" s="5">
        <f t="shared" si="1"/>
        <v>54.75</v>
      </c>
    </row>
    <row r="14" spans="1:8">
      <c r="A14" s="4" t="s">
        <v>30</v>
      </c>
      <c r="B14" s="4"/>
      <c r="C14" s="4"/>
      <c r="D14" s="4"/>
      <c r="E14" s="5">
        <f>SUM(E5:E13)</f>
        <v>53073.68</v>
      </c>
      <c r="F14" s="5">
        <f t="shared" ref="F14:H14" si="2">SUM(F5:F13)</f>
        <v>1230</v>
      </c>
      <c r="G14" s="5"/>
      <c r="H14" s="5">
        <f t="shared" si="2"/>
        <v>49248.655000000006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5"/>
  <cols>
    <col min="1" max="1" width="16.85546875" customWidth="1"/>
    <col min="2" max="2" width="9" customWidth="1"/>
    <col min="4" max="4" width="13.85546875" customWidth="1"/>
    <col min="5" max="5" width="15.140625" customWidth="1"/>
    <col min="8" max="8" width="14.5703125" customWidth="1"/>
    <col min="9" max="11" width="9.5703125" customWidth="1"/>
  </cols>
  <sheetData>
    <row r="1" spans="1:11" ht="19.5">
      <c r="A1" s="14" t="s">
        <v>27</v>
      </c>
      <c r="B1" s="14"/>
      <c r="D1" s="14" t="s">
        <v>41</v>
      </c>
      <c r="H1" s="14" t="s">
        <v>42</v>
      </c>
    </row>
    <row r="2" spans="1:11">
      <c r="A2" t="s">
        <v>3</v>
      </c>
      <c r="B2" t="s">
        <v>4</v>
      </c>
      <c r="D2" s="15" t="s">
        <v>2</v>
      </c>
      <c r="E2" s="15" t="s">
        <v>40</v>
      </c>
      <c r="F2" s="15" t="s">
        <v>43</v>
      </c>
      <c r="H2" t="s">
        <v>26</v>
      </c>
      <c r="I2" t="s">
        <v>37</v>
      </c>
      <c r="J2" t="s">
        <v>38</v>
      </c>
      <c r="K2" t="s">
        <v>39</v>
      </c>
    </row>
    <row r="3" spans="1:11">
      <c r="A3" t="s">
        <v>13</v>
      </c>
      <c r="B3">
        <v>54.99</v>
      </c>
      <c r="D3" t="s">
        <v>12</v>
      </c>
      <c r="E3">
        <v>3</v>
      </c>
      <c r="F3" t="s">
        <v>44</v>
      </c>
      <c r="H3">
        <v>0</v>
      </c>
      <c r="I3" s="16">
        <v>0</v>
      </c>
      <c r="J3" s="16">
        <v>0</v>
      </c>
      <c r="K3" s="12">
        <v>0</v>
      </c>
    </row>
    <row r="4" spans="1:11">
      <c r="A4" t="s">
        <v>20</v>
      </c>
      <c r="B4">
        <v>125.99</v>
      </c>
      <c r="D4" t="s">
        <v>19</v>
      </c>
      <c r="E4">
        <v>2</v>
      </c>
      <c r="F4" t="s">
        <v>45</v>
      </c>
      <c r="H4">
        <v>500</v>
      </c>
      <c r="I4" s="16">
        <v>0.03</v>
      </c>
      <c r="J4" s="16">
        <v>0.05</v>
      </c>
      <c r="K4" s="12">
        <v>7.0000000000000007E-2</v>
      </c>
    </row>
    <row r="5" spans="1:11">
      <c r="A5" t="s">
        <v>15</v>
      </c>
      <c r="B5">
        <v>99.99</v>
      </c>
      <c r="D5" t="s">
        <v>23</v>
      </c>
      <c r="E5">
        <v>2</v>
      </c>
      <c r="F5" t="s">
        <v>45</v>
      </c>
      <c r="H5">
        <v>5000</v>
      </c>
      <c r="I5" s="16">
        <v>0.06</v>
      </c>
      <c r="J5" s="16">
        <v>0.08</v>
      </c>
      <c r="K5" s="12">
        <v>0.1</v>
      </c>
    </row>
    <row r="6" spans="1:11">
      <c r="A6" t="s">
        <v>22</v>
      </c>
      <c r="B6">
        <v>33.979999999999997</v>
      </c>
      <c r="D6" t="s">
        <v>14</v>
      </c>
      <c r="E6">
        <v>2</v>
      </c>
      <c r="F6" t="s">
        <v>44</v>
      </c>
      <c r="H6">
        <v>10000</v>
      </c>
      <c r="I6" s="16">
        <v>0.09</v>
      </c>
      <c r="J6" s="16">
        <v>0.11</v>
      </c>
      <c r="K6" s="12">
        <v>0.12</v>
      </c>
    </row>
    <row r="7" spans="1:11">
      <c r="A7" t="s">
        <v>9</v>
      </c>
      <c r="B7">
        <v>63.99</v>
      </c>
      <c r="D7" t="s">
        <v>10</v>
      </c>
      <c r="E7">
        <v>3</v>
      </c>
      <c r="F7" t="s">
        <v>44</v>
      </c>
    </row>
    <row r="8" spans="1:11">
      <c r="A8" t="s">
        <v>11</v>
      </c>
      <c r="B8">
        <v>169.99</v>
      </c>
      <c r="D8" t="s">
        <v>21</v>
      </c>
      <c r="E8">
        <v>1</v>
      </c>
      <c r="F8" t="s">
        <v>45</v>
      </c>
    </row>
    <row r="9" spans="1:11">
      <c r="A9" t="s">
        <v>17</v>
      </c>
      <c r="B9">
        <v>44.99</v>
      </c>
      <c r="D9" t="s">
        <v>16</v>
      </c>
      <c r="E9">
        <v>1</v>
      </c>
      <c r="F9" t="s">
        <v>45</v>
      </c>
    </row>
    <row r="10" spans="1:11">
      <c r="A10" t="s">
        <v>24</v>
      </c>
      <c r="B10">
        <v>54.75</v>
      </c>
      <c r="D10" t="s">
        <v>18</v>
      </c>
      <c r="E10">
        <v>3</v>
      </c>
      <c r="F10" t="s">
        <v>45</v>
      </c>
    </row>
    <row r="11" spans="1:11">
      <c r="D11" t="s">
        <v>8</v>
      </c>
      <c r="E11">
        <v>2</v>
      </c>
      <c r="F11" t="s">
        <v>44</v>
      </c>
    </row>
    <row r="12" spans="1:11" ht="19.5">
      <c r="A12" s="14" t="s">
        <v>6</v>
      </c>
      <c r="B12" s="14"/>
    </row>
    <row r="13" spans="1:11">
      <c r="A13" t="s">
        <v>26</v>
      </c>
      <c r="B13" t="s">
        <v>25</v>
      </c>
    </row>
    <row r="14" spans="1:11" ht="19.5">
      <c r="A14">
        <v>0</v>
      </c>
      <c r="B14">
        <v>0</v>
      </c>
      <c r="F14" s="14"/>
      <c r="G14" s="14"/>
      <c r="H14" s="14"/>
    </row>
    <row r="15" spans="1:11">
      <c r="A15">
        <v>400</v>
      </c>
      <c r="B15">
        <v>50</v>
      </c>
    </row>
    <row r="16" spans="1:11">
      <c r="A16">
        <v>800</v>
      </c>
      <c r="B16">
        <v>60</v>
      </c>
    </row>
    <row r="17" spans="1:2">
      <c r="A17">
        <v>1200</v>
      </c>
      <c r="B17">
        <v>70</v>
      </c>
    </row>
    <row r="18" spans="1:2">
      <c r="A18">
        <v>1600</v>
      </c>
      <c r="B18">
        <v>80</v>
      </c>
    </row>
    <row r="19" spans="1:2">
      <c r="A19">
        <v>2000</v>
      </c>
      <c r="B19">
        <v>90</v>
      </c>
    </row>
    <row r="20" spans="1:2">
      <c r="A20">
        <v>5000</v>
      </c>
      <c r="B20">
        <v>100</v>
      </c>
    </row>
    <row r="21" spans="1:2">
      <c r="A21">
        <v>8000</v>
      </c>
      <c r="B21">
        <v>200</v>
      </c>
    </row>
    <row r="22" spans="1:2">
      <c r="A22">
        <v>12000</v>
      </c>
      <c r="B22">
        <v>300</v>
      </c>
    </row>
    <row r="23" spans="1:2">
      <c r="A23">
        <v>16000</v>
      </c>
      <c r="B23">
        <v>400</v>
      </c>
    </row>
  </sheetData>
  <sortState ref="D3:E11">
    <sortCondition ref="D11"/>
  </sortState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E19" sqref="E19"/>
    </sheetView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5" width="13.28515625" customWidth="1"/>
    <col min="6" max="6" width="12.140625" customWidth="1"/>
    <col min="7" max="7" width="12.5703125" bestFit="1" customWidth="1"/>
    <col min="8" max="8" width="12.140625" customWidth="1"/>
    <col min="9" max="9" width="9.7109375" bestFit="1" customWidth="1"/>
  </cols>
  <sheetData>
    <row r="1" spans="1:9" ht="22.5">
      <c r="A1" s="7" t="s">
        <v>0</v>
      </c>
      <c r="H1" t="s">
        <v>34</v>
      </c>
      <c r="I1" s="10" t="s">
        <v>48</v>
      </c>
    </row>
    <row r="2" spans="1:9" ht="20.25" thickBot="1">
      <c r="A2" s="2" t="s">
        <v>1</v>
      </c>
      <c r="H2" t="s">
        <v>31</v>
      </c>
      <c r="I2" s="19">
        <v>5</v>
      </c>
    </row>
    <row r="3" spans="1:9" ht="15.75" thickTop="1">
      <c r="A3" s="17" t="s">
        <v>32</v>
      </c>
      <c r="C3" s="10"/>
    </row>
    <row r="4" spans="1:9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36</v>
      </c>
      <c r="H4" s="9" t="s">
        <v>7</v>
      </c>
      <c r="I4" s="9" t="s">
        <v>35</v>
      </c>
    </row>
    <row r="5" spans="1:9">
      <c r="A5" s="3" t="s">
        <v>8</v>
      </c>
      <c r="B5" s="1" t="s">
        <v>9</v>
      </c>
      <c r="C5" s="5">
        <f>VLOOKUP(B5,Prices[],2)</f>
        <v>63.99</v>
      </c>
      <c r="D5" s="1">
        <v>10</v>
      </c>
      <c r="E5" s="5">
        <f>C5*D5</f>
        <v>639.9</v>
      </c>
      <c r="F5" s="5">
        <f>VLOOKUP(E5,Shipping[],2)</f>
        <v>50</v>
      </c>
      <c r="G5" s="5">
        <f>E5*VLOOKUP(E5,DiscountPercent[],VLOOKUP(A5,CustomerScale[],2)+1)</f>
        <v>31.995000000000001</v>
      </c>
      <c r="H5" s="5">
        <f>E5+F5-G5</f>
        <v>657.90499999999997</v>
      </c>
      <c r="I5" s="18">
        <f>H5/$H$9</f>
        <v>3.4254904222110041E-2</v>
      </c>
    </row>
    <row r="6" spans="1:9">
      <c r="A6" s="3" t="s">
        <v>10</v>
      </c>
      <c r="B6" s="1" t="s">
        <v>11</v>
      </c>
      <c r="C6" s="5">
        <f>VLOOKUP(B6,Prices[],2)</f>
        <v>169.99</v>
      </c>
      <c r="D6" s="1">
        <v>75</v>
      </c>
      <c r="E6" s="5">
        <f t="shared" ref="E6:E8" si="0">C6*D6</f>
        <v>12749.25</v>
      </c>
      <c r="F6" s="5">
        <f>VLOOKUP(E6,Shipping[],2)</f>
        <v>300</v>
      </c>
      <c r="G6" s="5">
        <f>E6*VLOOKUP(E6,DiscountPercent[],VLOOKUP(A6,CustomerScale[],2)+1)</f>
        <v>1529.9099999999999</v>
      </c>
      <c r="H6" s="5">
        <f t="shared" ref="H6:H8" si="1">E6+F6-G6</f>
        <v>11519.34</v>
      </c>
      <c r="I6" s="18">
        <f t="shared" ref="I6:I8" si="2">H6/$H$9</f>
        <v>0.59977335390659914</v>
      </c>
    </row>
    <row r="7" spans="1:9">
      <c r="A7" s="3" t="s">
        <v>12</v>
      </c>
      <c r="B7" s="1" t="s">
        <v>13</v>
      </c>
      <c r="C7" s="5">
        <f>VLOOKUP(B7,Prices[],2)</f>
        <v>54.99</v>
      </c>
      <c r="D7" s="1">
        <v>100</v>
      </c>
      <c r="E7" s="5">
        <f t="shared" si="0"/>
        <v>5499</v>
      </c>
      <c r="F7" s="5">
        <f>VLOOKUP(E7,Shipping[],2)</f>
        <v>100</v>
      </c>
      <c r="G7" s="5">
        <f>E7*VLOOKUP(E7,DiscountPercent[],VLOOKUP(A7,CustomerScale[],2)+1)</f>
        <v>549.9</v>
      </c>
      <c r="H7" s="5">
        <f t="shared" si="1"/>
        <v>5049.1000000000004</v>
      </c>
      <c r="I7" s="18">
        <f t="shared" si="2"/>
        <v>0.26288968302088572</v>
      </c>
    </row>
    <row r="8" spans="1:9">
      <c r="A8" s="3" t="s">
        <v>14</v>
      </c>
      <c r="B8" s="1" t="s">
        <v>15</v>
      </c>
      <c r="C8" s="5">
        <f>VLOOKUP(B8,Prices[],2)</f>
        <v>99.99</v>
      </c>
      <c r="D8" s="1">
        <v>20</v>
      </c>
      <c r="E8" s="5">
        <f t="shared" si="0"/>
        <v>1999.8</v>
      </c>
      <c r="F8" s="5">
        <f>VLOOKUP(E8,Shipping[],2)</f>
        <v>80</v>
      </c>
      <c r="G8" s="5">
        <f>E8*VLOOKUP(E8,DiscountPercent[],VLOOKUP(A8,CustomerScale[],2)+1)</f>
        <v>99.990000000000009</v>
      </c>
      <c r="H8" s="5">
        <f t="shared" si="1"/>
        <v>1979.8100000000002</v>
      </c>
      <c r="I8" s="18">
        <f t="shared" si="2"/>
        <v>0.10308205885040499</v>
      </c>
    </row>
    <row r="9" spans="1:9">
      <c r="A9" s="4" t="s">
        <v>30</v>
      </c>
      <c r="B9" s="4"/>
      <c r="C9" s="4"/>
      <c r="D9" s="4">
        <f>SUM(D5:D8)</f>
        <v>205</v>
      </c>
      <c r="E9" s="4">
        <f>SUM(E5:E8)</f>
        <v>20887.95</v>
      </c>
      <c r="F9" s="5">
        <f>SUM(F5:F8)</f>
        <v>530</v>
      </c>
      <c r="G9" s="5">
        <f t="shared" ref="G9" si="3">SUM(G5:G8)</f>
        <v>2211.7950000000001</v>
      </c>
      <c r="H9" s="21">
        <f>SUM(H5:H8)</f>
        <v>19206.155000000002</v>
      </c>
    </row>
    <row r="12" spans="1:9">
      <c r="A12" s="17" t="s">
        <v>33</v>
      </c>
    </row>
    <row r="13" spans="1:9" ht="15.75" thickBot="1">
      <c r="A13" s="8" t="s">
        <v>2</v>
      </c>
      <c r="B13" s="8" t="s">
        <v>3</v>
      </c>
      <c r="C13" s="8" t="s">
        <v>28</v>
      </c>
      <c r="D13" s="9" t="s">
        <v>5</v>
      </c>
      <c r="E13" s="9" t="s">
        <v>29</v>
      </c>
      <c r="F13" s="9" t="s">
        <v>6</v>
      </c>
      <c r="G13" s="13" t="s">
        <v>36</v>
      </c>
      <c r="H13" s="9" t="s">
        <v>7</v>
      </c>
      <c r="I13" s="9" t="s">
        <v>35</v>
      </c>
    </row>
    <row r="14" spans="1:9">
      <c r="A14" s="3" t="s">
        <v>16</v>
      </c>
      <c r="B14" s="1" t="s">
        <v>17</v>
      </c>
      <c r="C14" s="5">
        <f>VLOOKUP(B14,Prices[],2)</f>
        <v>44.99</v>
      </c>
      <c r="D14" s="1">
        <v>200</v>
      </c>
      <c r="E14" s="5">
        <f t="shared" ref="E14:E18" si="4">C14*D14</f>
        <v>8998</v>
      </c>
      <c r="F14" s="5">
        <f>VLOOKUP(E14,Shipping[],2)</f>
        <v>200</v>
      </c>
      <c r="G14" s="5">
        <f>E14*VLOOKUP(E14,DiscountPercent[],VLOOKUP(A14,CustomerScale[],2)+1)</f>
        <v>539.88</v>
      </c>
      <c r="H14" s="5">
        <f>E14+F14-G14</f>
        <v>8658.1200000000008</v>
      </c>
      <c r="I14" s="18">
        <f>H14/$H$19</f>
        <v>0.28819572272613797</v>
      </c>
    </row>
    <row r="15" spans="1:9">
      <c r="A15" s="3" t="s">
        <v>18</v>
      </c>
      <c r="B15" s="1" t="s">
        <v>11</v>
      </c>
      <c r="C15" s="5">
        <f>VLOOKUP(B15,Prices[],2)</f>
        <v>169.99</v>
      </c>
      <c r="D15" s="1">
        <v>2</v>
      </c>
      <c r="E15" s="5">
        <f t="shared" si="4"/>
        <v>339.98</v>
      </c>
      <c r="F15" s="5">
        <f>VLOOKUP(E15,Shipping[],2)</f>
        <v>0</v>
      </c>
      <c r="G15" s="5">
        <f>E15*VLOOKUP(E15,DiscountPercent[],VLOOKUP(A15,CustomerScale[],2)+1)</f>
        <v>0</v>
      </c>
      <c r="H15" s="5">
        <f t="shared" ref="H15:H18" si="5">E15+F15-G15</f>
        <v>339.98</v>
      </c>
      <c r="I15" s="18">
        <f t="shared" ref="I15:I18" si="6">H15/$H$19</f>
        <v>1.1316634767412832E-2</v>
      </c>
    </row>
    <row r="16" spans="1:9">
      <c r="A16" s="3" t="s">
        <v>19</v>
      </c>
      <c r="B16" s="1" t="s">
        <v>20</v>
      </c>
      <c r="C16" s="5">
        <f>VLOOKUP(B16,Prices[],2)</f>
        <v>125.99</v>
      </c>
      <c r="D16" s="1">
        <v>100</v>
      </c>
      <c r="E16" s="5">
        <f t="shared" si="4"/>
        <v>12599</v>
      </c>
      <c r="F16" s="5">
        <f>VLOOKUP(E16,Shipping[],2)</f>
        <v>300</v>
      </c>
      <c r="G16" s="5">
        <f>E16*VLOOKUP(E16,DiscountPercent[],VLOOKUP(A16,CustomerScale[],2)+1)</f>
        <v>1385.89</v>
      </c>
      <c r="H16" s="5">
        <f t="shared" si="5"/>
        <v>11513.11</v>
      </c>
      <c r="I16" s="18">
        <f t="shared" si="6"/>
        <v>0.38322742781060165</v>
      </c>
    </row>
    <row r="17" spans="1:9">
      <c r="A17" s="3" t="s">
        <v>21</v>
      </c>
      <c r="B17" s="1" t="s">
        <v>22</v>
      </c>
      <c r="C17" s="5">
        <f>VLOOKUP(B17,Prices[],2)</f>
        <v>33.979999999999997</v>
      </c>
      <c r="D17" s="1">
        <v>300</v>
      </c>
      <c r="E17" s="5">
        <f t="shared" si="4"/>
        <v>10193.999999999998</v>
      </c>
      <c r="F17" s="5">
        <f>VLOOKUP(E17,Shipping[],2)</f>
        <v>200</v>
      </c>
      <c r="G17" s="5">
        <f>E17*VLOOKUP(E17,DiscountPercent[],VLOOKUP(A17,CustomerScale[],2)+1)</f>
        <v>917.45999999999981</v>
      </c>
      <c r="H17" s="5">
        <f t="shared" si="5"/>
        <v>9476.5399999999991</v>
      </c>
      <c r="I17" s="18">
        <f t="shared" si="6"/>
        <v>0.31543779645502201</v>
      </c>
    </row>
    <row r="18" spans="1:9">
      <c r="A18" s="3" t="s">
        <v>23</v>
      </c>
      <c r="B18" s="1" t="s">
        <v>24</v>
      </c>
      <c r="C18" s="5">
        <f>VLOOKUP(B18,Prices[],2)</f>
        <v>54.75</v>
      </c>
      <c r="D18" s="1">
        <v>1</v>
      </c>
      <c r="E18" s="5">
        <f t="shared" si="4"/>
        <v>54.75</v>
      </c>
      <c r="F18" s="5">
        <f>VLOOKUP(E18,Shipping[],2)</f>
        <v>0</v>
      </c>
      <c r="G18" s="5">
        <f>E18*VLOOKUP(E18,DiscountPercent[],VLOOKUP(A18,CustomerScale[],2)+1)</f>
        <v>0</v>
      </c>
      <c r="H18" s="5">
        <f t="shared" si="5"/>
        <v>54.75</v>
      </c>
      <c r="I18" s="18">
        <f t="shared" si="6"/>
        <v>1.8224182408254973E-3</v>
      </c>
    </row>
    <row r="19" spans="1:9">
      <c r="A19" s="4" t="s">
        <v>30</v>
      </c>
      <c r="B19" s="4"/>
      <c r="C19" s="4"/>
      <c r="D19" s="4">
        <f>SUM(D14:D18)</f>
        <v>603</v>
      </c>
      <c r="E19" s="5">
        <f>SUM(E14:E18)</f>
        <v>32185.729999999996</v>
      </c>
      <c r="F19" s="5">
        <f>SUM(F14:F18)</f>
        <v>700</v>
      </c>
      <c r="G19" s="5">
        <f>SUM(G14:G18)</f>
        <v>2843.2299999999996</v>
      </c>
      <c r="H19" s="5">
        <f t="shared" ref="H19" si="7">SUM(H14:H18)</f>
        <v>30042.5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"/>
  <sheetViews>
    <sheetView workbookViewId="0"/>
  </sheetViews>
  <sheetFormatPr defaultRowHeight="15"/>
  <cols>
    <col min="1" max="1" width="9.28515625" customWidth="1"/>
    <col min="2" max="2" width="18.140625" customWidth="1"/>
    <col min="3" max="3" width="8.85546875" customWidth="1"/>
    <col min="4" max="4" width="12.140625" bestFit="1" customWidth="1"/>
    <col min="5" max="5" width="8.28515625" customWidth="1"/>
    <col min="6" max="6" width="14.28515625" bestFit="1" customWidth="1"/>
    <col min="7" max="7" width="11" bestFit="1" customWidth="1"/>
    <col min="8" max="8" width="12.28515625" customWidth="1"/>
    <col min="9" max="9" width="13.140625" customWidth="1"/>
    <col min="10" max="10" width="12.140625" customWidth="1"/>
  </cols>
  <sheetData>
    <row r="1" spans="1:10" ht="22.5">
      <c r="A1" s="7" t="s">
        <v>0</v>
      </c>
    </row>
    <row r="2" spans="1:10" ht="20.25" thickBot="1">
      <c r="A2" s="2" t="s">
        <v>46</v>
      </c>
      <c r="B2" s="2"/>
    </row>
    <row r="3" spans="1:10" ht="15.75" thickTop="1"/>
    <row r="4" spans="1:10">
      <c r="A4" t="s">
        <v>43</v>
      </c>
      <c r="B4" t="s">
        <v>2</v>
      </c>
      <c r="C4" t="s">
        <v>3</v>
      </c>
      <c r="D4" t="s">
        <v>28</v>
      </c>
      <c r="E4" t="s">
        <v>5</v>
      </c>
      <c r="F4" t="s">
        <v>29</v>
      </c>
      <c r="G4" t="s">
        <v>6</v>
      </c>
      <c r="H4" t="s">
        <v>36</v>
      </c>
      <c r="I4" t="s">
        <v>7</v>
      </c>
      <c r="J4" t="s">
        <v>35</v>
      </c>
    </row>
    <row r="5" spans="1:10">
      <c r="A5" s="19" t="str">
        <f>VLOOKUP([Company],CustomerScale[],3)</f>
        <v>Eastern</v>
      </c>
      <c r="B5" s="1" t="s">
        <v>8</v>
      </c>
      <c r="C5" s="1" t="s">
        <v>9</v>
      </c>
      <c r="D5" s="20">
        <f>VLOOKUP([Part],Prices[],2)</f>
        <v>63.99</v>
      </c>
      <c r="E5" s="1">
        <v>10</v>
      </c>
      <c r="F5" s="20">
        <f>[Price Each]*[Qty]</f>
        <v>639.9</v>
      </c>
      <c r="G5" s="20">
        <f>VLOOKUP([Cost of Parts],Shipping[],2)</f>
        <v>50</v>
      </c>
      <c r="H5" s="20">
        <f>[Cost of Parts]*VLOOKUP([Cost of Parts],DiscountPercent[],VLOOKUP([Company],CustomerScale[],2)+1)</f>
        <v>31.995000000000001</v>
      </c>
      <c r="I5" s="20">
        <f>[Cost of Parts]+[Shipping]-[Discount]</f>
        <v>657.90499999999997</v>
      </c>
      <c r="J5" s="11">
        <f>Orders[[#This Row],[Total Cost]]/Orders[[#Totals],[Total Cost]]</f>
        <v>1.3358841982588151E-2</v>
      </c>
    </row>
    <row r="6" spans="1:10">
      <c r="A6" s="19" t="str">
        <f>VLOOKUP([Company],CustomerScale[],3)</f>
        <v>Eastern</v>
      </c>
      <c r="B6" s="1" t="s">
        <v>10</v>
      </c>
      <c r="C6" s="1" t="s">
        <v>11</v>
      </c>
      <c r="D6" s="20">
        <f>VLOOKUP([Part],Prices[],2)</f>
        <v>169.99</v>
      </c>
      <c r="E6" s="1">
        <v>75</v>
      </c>
      <c r="F6" s="20">
        <f>[Price Each]*[Qty]</f>
        <v>12749.25</v>
      </c>
      <c r="G6" s="20">
        <f>VLOOKUP([Cost of Parts],Shipping[],2)</f>
        <v>300</v>
      </c>
      <c r="H6" s="20">
        <f>[Cost of Parts]*VLOOKUP([Cost of Parts],DiscountPercent[],VLOOKUP([Company],CustomerScale[],2)+1)</f>
        <v>1529.9099999999999</v>
      </c>
      <c r="I6" s="20">
        <f>[Cost of Parts]+[Shipping]-[Discount]</f>
        <v>11519.34</v>
      </c>
      <c r="J6" s="11">
        <f>Orders[[#This Row],[Total Cost]]/Orders[[#Totals],[Total Cost]]</f>
        <v>0.233901616196422</v>
      </c>
    </row>
    <row r="7" spans="1:10">
      <c r="A7" s="19" t="str">
        <f>VLOOKUP([Company],CustomerScale[],3)</f>
        <v>Eastern</v>
      </c>
      <c r="B7" s="1" t="s">
        <v>12</v>
      </c>
      <c r="C7" s="1" t="s">
        <v>13</v>
      </c>
      <c r="D7" s="20">
        <f>VLOOKUP([Part],Prices[],2)</f>
        <v>54.99</v>
      </c>
      <c r="E7" s="1">
        <v>100</v>
      </c>
      <c r="F7" s="20">
        <f>[Price Each]*[Qty]</f>
        <v>5499</v>
      </c>
      <c r="G7" s="20">
        <f>VLOOKUP([Cost of Parts],Shipping[],2)</f>
        <v>100</v>
      </c>
      <c r="H7" s="20">
        <f>[Cost of Parts]*VLOOKUP([Cost of Parts],DiscountPercent[],VLOOKUP([Company],CustomerScale[],2)+1)</f>
        <v>549.9</v>
      </c>
      <c r="I7" s="20">
        <f>[Cost of Parts]+[Shipping]-[Discount]</f>
        <v>5049.1000000000004</v>
      </c>
      <c r="J7" s="11">
        <f>Orders[[#This Row],[Total Cost]]/Orders[[#Totals],[Total Cost]]</f>
        <v>0.10252259681000425</v>
      </c>
    </row>
    <row r="8" spans="1:10">
      <c r="A8" s="19" t="str">
        <f>VLOOKUP([Company],CustomerScale[],3)</f>
        <v>Eastern</v>
      </c>
      <c r="B8" s="1" t="s">
        <v>14</v>
      </c>
      <c r="C8" s="1" t="s">
        <v>15</v>
      </c>
      <c r="D8" s="20">
        <f>VLOOKUP([Part],Prices[],2)</f>
        <v>99.99</v>
      </c>
      <c r="E8" s="1">
        <v>20</v>
      </c>
      <c r="F8" s="20">
        <f>[Price Each]*[Qty]</f>
        <v>1999.8</v>
      </c>
      <c r="G8" s="20">
        <f>VLOOKUP([Cost of Parts],Shipping[],2)</f>
        <v>80</v>
      </c>
      <c r="H8" s="20">
        <f>[Cost of Parts]*VLOOKUP([Cost of Parts],DiscountPercent[],VLOOKUP([Company],CustomerScale[],2)+1)</f>
        <v>99.990000000000009</v>
      </c>
      <c r="I8" s="20">
        <f>[Cost of Parts]+[Shipping]-[Discount]</f>
        <v>1979.8100000000002</v>
      </c>
      <c r="J8" s="11">
        <f>Orders[[#This Row],[Total Cost]]/Orders[[#Totals],[Total Cost]]</f>
        <v>4.020028567277624E-2</v>
      </c>
    </row>
    <row r="9" spans="1:10">
      <c r="A9" s="19" t="str">
        <f>VLOOKUP([Company],CustomerScale[],3)</f>
        <v>Western</v>
      </c>
      <c r="B9" s="1" t="s">
        <v>16</v>
      </c>
      <c r="C9" s="1" t="s">
        <v>17</v>
      </c>
      <c r="D9" s="20">
        <f>VLOOKUP([Part],Prices[],2)</f>
        <v>44.99</v>
      </c>
      <c r="E9" s="1">
        <v>200</v>
      </c>
      <c r="F9" s="20">
        <f>[Price Each]*[Qty]</f>
        <v>8998</v>
      </c>
      <c r="G9" s="20">
        <f>VLOOKUP([Cost of Parts],Shipping[],2)</f>
        <v>200</v>
      </c>
      <c r="H9" s="20">
        <f>[Cost of Parts]*VLOOKUP([Cost of Parts],DiscountPercent[],VLOOKUP([Company],CustomerScale[],2)+1)</f>
        <v>539.88</v>
      </c>
      <c r="I9" s="20">
        <f>[Cost of Parts]+[Shipping]-[Discount]</f>
        <v>8658.1200000000008</v>
      </c>
      <c r="J9" s="11">
        <f>Orders[[#This Row],[Total Cost]]/Orders[[#Totals],[Total Cost]]</f>
        <v>0.17580419201295955</v>
      </c>
    </row>
    <row r="10" spans="1:10">
      <c r="A10" s="19" t="str">
        <f>VLOOKUP([Company],CustomerScale[],3)</f>
        <v>Western</v>
      </c>
      <c r="B10" s="1" t="s">
        <v>18</v>
      </c>
      <c r="C10" s="1" t="s">
        <v>11</v>
      </c>
      <c r="D10" s="20">
        <f>VLOOKUP([Part],Prices[],2)</f>
        <v>169.99</v>
      </c>
      <c r="E10" s="1">
        <v>2</v>
      </c>
      <c r="F10" s="20">
        <f>[Price Each]*[Qty]</f>
        <v>339.98</v>
      </c>
      <c r="G10" s="20">
        <f>VLOOKUP([Cost of Parts],Shipping[],2)</f>
        <v>0</v>
      </c>
      <c r="H10" s="20">
        <f>[Cost of Parts]*VLOOKUP([Cost of Parts],DiscountPercent[],VLOOKUP([Company],CustomerScale[],2)+1)</f>
        <v>0</v>
      </c>
      <c r="I10" s="20">
        <f>[Cost of Parts]+[Shipping]-[Discount]</f>
        <v>339.98</v>
      </c>
      <c r="J10" s="11">
        <f>Orders[[#This Row],[Total Cost]]/Orders[[#Totals],[Total Cost]]</f>
        <v>6.9033357357678087E-3</v>
      </c>
    </row>
    <row r="11" spans="1:10">
      <c r="A11" s="19" t="str">
        <f>VLOOKUP([Company],CustomerScale[],3)</f>
        <v>Western</v>
      </c>
      <c r="B11" s="1" t="s">
        <v>19</v>
      </c>
      <c r="C11" s="1" t="s">
        <v>20</v>
      </c>
      <c r="D11" s="20">
        <f>VLOOKUP([Part],Prices[],2)</f>
        <v>125.99</v>
      </c>
      <c r="E11" s="1">
        <v>100</v>
      </c>
      <c r="F11" s="20">
        <f>[Price Each]*[Qty]</f>
        <v>12599</v>
      </c>
      <c r="G11" s="20">
        <f>VLOOKUP([Cost of Parts],Shipping[],2)</f>
        <v>300</v>
      </c>
      <c r="H11" s="20">
        <f>[Cost of Parts]*VLOOKUP([Cost of Parts],DiscountPercent[],VLOOKUP([Company],CustomerScale[],2)+1)</f>
        <v>1385.89</v>
      </c>
      <c r="I11" s="20">
        <f>[Cost of Parts]+[Shipping]-[Discount]</f>
        <v>11513.11</v>
      </c>
      <c r="J11" s="11">
        <f>Orders[[#This Row],[Total Cost]]/Orders[[#Totals],[Total Cost]]</f>
        <v>0.23377511527979797</v>
      </c>
    </row>
    <row r="12" spans="1:10">
      <c r="A12" s="19" t="str">
        <f>VLOOKUP([Company],CustomerScale[],3)</f>
        <v>Western</v>
      </c>
      <c r="B12" s="1" t="s">
        <v>21</v>
      </c>
      <c r="C12" s="1" t="s">
        <v>22</v>
      </c>
      <c r="D12" s="20">
        <f>VLOOKUP([Part],Prices[],2)</f>
        <v>33.979999999999997</v>
      </c>
      <c r="E12" s="1">
        <v>300</v>
      </c>
      <c r="F12" s="20">
        <f>[Price Each]*[Qty]</f>
        <v>10193.999999999998</v>
      </c>
      <c r="G12" s="20">
        <f>VLOOKUP([Cost of Parts],Shipping[],2)</f>
        <v>200</v>
      </c>
      <c r="H12" s="20">
        <f>[Cost of Parts]*VLOOKUP([Cost of Parts],DiscountPercent[],VLOOKUP([Company],CustomerScale[],2)+1)</f>
        <v>917.45999999999981</v>
      </c>
      <c r="I12" s="20">
        <f>[Cost of Parts]+[Shipping]-[Discount]</f>
        <v>9476.5399999999991</v>
      </c>
      <c r="J12" s="11">
        <f>Orders[[#This Row],[Total Cost]]/Orders[[#Totals],[Total Cost]]</f>
        <v>0.19242231082249855</v>
      </c>
    </row>
    <row r="13" spans="1:10">
      <c r="A13" s="19" t="str">
        <f>VLOOKUP([Company],CustomerScale[],3)</f>
        <v>Western</v>
      </c>
      <c r="B13" s="1" t="s">
        <v>23</v>
      </c>
      <c r="C13" s="1" t="s">
        <v>24</v>
      </c>
      <c r="D13" s="20">
        <f>VLOOKUP([Part],Prices[],2)</f>
        <v>54.75</v>
      </c>
      <c r="E13" s="1">
        <v>1</v>
      </c>
      <c r="F13" s="20">
        <f>[Price Each]*[Qty]</f>
        <v>54.75</v>
      </c>
      <c r="G13" s="20">
        <f>VLOOKUP([Cost of Parts],Shipping[],2)</f>
        <v>0</v>
      </c>
      <c r="H13" s="20">
        <f>[Cost of Parts]*VLOOKUP([Cost of Parts],DiscountPercent[],VLOOKUP([Company],CustomerScale[],2)+1)</f>
        <v>0</v>
      </c>
      <c r="I13" s="20">
        <f>[Cost of Parts]+[Shipping]-[Discount]</f>
        <v>54.75</v>
      </c>
      <c r="J13" s="11">
        <f>Orders[[#This Row],[Total Cost]]/Orders[[#Totals],[Total Cost]]</f>
        <v>1.1117054871853859E-3</v>
      </c>
    </row>
    <row r="14" spans="1:10">
      <c r="A14" t="s">
        <v>47</v>
      </c>
      <c r="B14">
        <f>SUBTOTAL(103,[Company])</f>
        <v>9</v>
      </c>
      <c r="D14" s="19"/>
      <c r="F14" s="6">
        <f>SUBTOTAL(109,[Cost of Parts])</f>
        <v>53073.68</v>
      </c>
      <c r="G14" s="6">
        <f>SUBTOTAL(109,[Shipping])</f>
        <v>1230</v>
      </c>
      <c r="H14" s="6">
        <f>SUBTOTAL(109,[Discount])</f>
        <v>5055.0250000000005</v>
      </c>
      <c r="I14" s="6">
        <f>SUBTOTAL(109,[Total Cost])</f>
        <v>49248.655000000006</v>
      </c>
    </row>
  </sheetData>
  <dataValidations count="3">
    <dataValidation type="list" allowBlank="1" showInputMessage="1" showErrorMessage="1" errorTitle="Company Error!" error="If this is a new Company Name, it must be added to the CustomerScale table before entering the Order Record." promptTitle="Company" prompt="Select Company from the drop-down list.&#10;New customers must be added to the CustomerScale table before entering an Order Record." sqref="B5:B13">
      <formula1>Companies</formula1>
    </dataValidation>
    <dataValidation type="list" allowBlank="1" showInputMessage="1" showErrorMessage="1" errorTitle="Part Error!" error="If this is a new Part, it must be added to the Prices table before entering the Order Record." promptTitle="Part" prompt="Select Part Number from the drop-down list.&#10;New parts must be added to the Prices table before entering an Order Record." sqref="C5:C13">
      <formula1>Parts</formula1>
    </dataValidation>
    <dataValidation type="whole" operator="greaterThanOrEqual" allowBlank="1" showInputMessage="1" showErrorMessage="1" sqref="E5:E13">
      <formula1>1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CEC72231-9629-4973-B9B1-442CBE19A132}"/>
</file>

<file path=customXml/itemProps2.xml><?xml version="1.0" encoding="utf-8"?>
<ds:datastoreItem xmlns:ds="http://schemas.openxmlformats.org/officeDocument/2006/customXml" ds:itemID="{EEE10E43-5915-43D5-B31A-83B599591BF7}"/>
</file>

<file path=customXml/itemProps3.xml><?xml version="1.0" encoding="utf-8"?>
<ds:datastoreItem xmlns:ds="http://schemas.openxmlformats.org/officeDocument/2006/customXml" ds:itemID="{EC833F68-4DBF-4A71-9648-527AABDBB5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Orders</vt:lpstr>
      <vt:lpstr>Lookup Tables</vt:lpstr>
      <vt:lpstr>EastWest</vt:lpstr>
      <vt:lpstr>Orders Table</vt:lpstr>
      <vt:lpstr>Companies</vt:lpstr>
      <vt:lpstr>Parts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2007-10-30T14:33:26Z</dcterms:created>
  <dcterms:modified xsi:type="dcterms:W3CDTF">2007-11-02T18:33:08Z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